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Debanjan\Downloads\"/>
    </mc:Choice>
  </mc:AlternateContent>
  <xr:revisionPtr revIDLastSave="0" documentId="13_ncr:1_{34205253-68A5-4143-9FEA-624BAB7D6164}" xr6:coauthVersionLast="47" xr6:coauthVersionMax="47" xr10:uidLastSave="{00000000-0000-0000-0000-000000000000}"/>
  <bookViews>
    <workbookView xWindow="-98" yWindow="-98" windowWidth="19396" windowHeight="11475" tabRatio="500" firstSheet="2" activeTab="3" xr2:uid="{00000000-000D-0000-FFFF-FFFF00000000}"/>
  </bookViews>
  <sheets>
    <sheet name="README" sheetId="1" r:id="rId1"/>
    <sheet name="1_Source_Data" sheetId="2" r:id="rId2"/>
    <sheet name="2_Chokepoint_Analysis" sheetId="3" r:id="rId3"/>
    <sheet name="3_Cost_Model" sheetId="4" r:id="rId4"/>
    <sheet name="4_Insurance_Matrix" sheetId="5" r:id="rId5"/>
    <sheet name="5_Findings" sheetId="6" r:id="rId6"/>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6" i="5" l="1"/>
  <c r="E20" i="4"/>
  <c r="D22" i="4"/>
  <c r="B17" i="4"/>
  <c r="D14" i="5"/>
  <c r="D5" i="5"/>
  <c r="C5" i="5"/>
  <c r="C18" i="4"/>
  <c r="B16" i="4"/>
  <c r="B15" i="3"/>
  <c r="B14" i="3"/>
  <c r="C21" i="3"/>
  <c r="D7" i="5"/>
  <c r="D19" i="4"/>
  <c r="D21" i="4"/>
  <c r="C21" i="4"/>
  <c r="B12" i="3"/>
  <c r="B13" i="3"/>
  <c r="D7" i="3"/>
  <c r="D6" i="3"/>
  <c r="F6" i="5"/>
  <c r="D16" i="4"/>
  <c r="C16" i="4"/>
  <c r="D20" i="4"/>
  <c r="C20" i="4"/>
  <c r="B20" i="4"/>
  <c r="F7" i="5"/>
  <c r="F5" i="5"/>
  <c r="C6" i="5"/>
  <c r="B19" i="3"/>
  <c r="C19" i="3" s="1"/>
  <c r="B8" i="3"/>
  <c r="C7" i="3"/>
  <c r="C5" i="3"/>
  <c r="B10" i="5"/>
  <c r="E10" i="5" s="1"/>
  <c r="B9" i="5"/>
  <c r="E9" i="5" s="1"/>
  <c r="B8" i="5"/>
  <c r="E8" i="5" s="1"/>
  <c r="B7" i="5"/>
  <c r="B6" i="5"/>
  <c r="E6" i="5" s="1"/>
  <c r="B5" i="5"/>
  <c r="E5" i="5" s="1"/>
  <c r="B21" i="4"/>
  <c r="C19" i="4"/>
  <c r="B19" i="4"/>
  <c r="D18" i="4"/>
  <c r="B18" i="4"/>
  <c r="D17" i="4"/>
  <c r="C17" i="4"/>
  <c r="B20" i="3"/>
  <c r="B9" i="3"/>
  <c r="B7" i="3"/>
  <c r="B6" i="3"/>
  <c r="B5" i="3"/>
  <c r="D8" i="3" l="1"/>
  <c r="E7" i="5"/>
  <c r="C20" i="3"/>
  <c r="C8" i="5"/>
  <c r="D8" i="5"/>
  <c r="F8" i="5" s="1"/>
  <c r="C9" i="5"/>
  <c r="D9" i="5"/>
  <c r="F9" i="5" s="1"/>
  <c r="C10" i="5"/>
  <c r="C6" i="3"/>
  <c r="C8" i="3"/>
  <c r="C9" i="3"/>
  <c r="D9" i="3"/>
  <c r="D10" i="5"/>
  <c r="C7" i="5"/>
  <c r="F10" i="5" l="1"/>
</calcChain>
</file>

<file path=xl/sharedStrings.xml><?xml version="1.0" encoding="utf-8"?>
<sst xmlns="http://schemas.openxmlformats.org/spreadsheetml/2006/main" count="280" uniqueCount="216">
  <si>
    <t>Maritime Chokepoint Risk: Sourced Data &amp; Independent Analysis</t>
  </si>
  <si>
    <t>Prepared for the Trademo Insight: The Death of Just in Time Data | Built July 8, 2026</t>
  </si>
  <si>
    <t>Purpose</t>
  </si>
  <si>
    <t>This workbook holds every external data point used in the insight, each tagged with a neutral open source, plus original analysis (volatility metrics, a landed cost model, an insurance cost matrix) computed with live Excel formulas so figures update if inputs change.</t>
  </si>
  <si>
    <t>Source policy</t>
  </si>
  <si>
    <t>No data is drawn from supply chain intelligence, visibility, or logistics platforms that compete with Trademo. Sources are limited to: intergovernmental bodies (IMF PortWatch, IMO, IEA), government research (US Congressional Research Service, Suez Canal Authority figures), insurance market bodies (Joint War Committee, Marsh brokerage as quoted in press), and independent news organizations (Al Jazeera, Caixin Global, USNI News, Lloyd's List press reporting, Wikipedia event pages aggregating wire reports).</t>
  </si>
  <si>
    <t>Sheet guide</t>
  </si>
  <si>
    <t>1_Source_Data: raw data points with source, date and URL. 2_Chokepoint_Analysis: my transit collapse and volatility computations. 3_Cost_Model: my landed cost per container model across three routings. 4_Insurance_Matrix: my war risk premium cost scenarios. 5_Findings: analytical conclusions feeding the report.</t>
  </si>
  <si>
    <t>Color code</t>
  </si>
  <si>
    <t>Blue text = hardcoded input sourced or assumed (change these for scenarios). Black text = Excel formula. Yellow fill = key assumption to review. Every hardcoded number carries its source in the adjacent column.</t>
  </si>
  <si>
    <t>Caveats</t>
  </si>
  <si>
    <t>Figures for fast moving events are point in time estimates as reported on the stated date; ranges are shown where sources give ranges. The March 2026 Bab el Mandeb monthly figure is an estimate derived from reported daily crossing rates and is flagged as such.</t>
  </si>
  <si>
    <t>#</t>
  </si>
  <si>
    <t>Category</t>
  </si>
  <si>
    <t>Metric</t>
  </si>
  <si>
    <t>Value</t>
  </si>
  <si>
    <t>Unit</t>
  </si>
  <si>
    <t>As of</t>
  </si>
  <si>
    <t>Source (neutral, non competitor)</t>
  </si>
  <si>
    <t>URL</t>
  </si>
  <si>
    <t>Hormuz transits</t>
  </si>
  <si>
    <t>Pre crisis daily transit baseline (arrivals of ships)</t>
  </si>
  <si>
    <t>vessels/day</t>
  </si>
  <si>
    <t>Pre Feb 2026</t>
  </si>
  <si>
    <t>IMF PortWatch (as republished by straits.live tracker)</t>
  </si>
  <si>
    <t>https://straits.live/</t>
  </si>
  <si>
    <t>Daily transits, 7 day moving average, Jan to mid Feb 2026</t>
  </si>
  <si>
    <t>Jan-Feb 2026</t>
  </si>
  <si>
    <t>IMF PortWatch (as reported by Lloyd's List)</t>
  </si>
  <si>
    <t>https://www.lloydslist.com/LL1156995/</t>
  </si>
  <si>
    <t>Daily transits, 7 day moving average, two weeks pre closure</t>
  </si>
  <si>
    <t>Mid Feb 2026</t>
  </si>
  <si>
    <t>Ships transiting Feb 28 to Apr 12 (44 days total)</t>
  </si>
  <si>
    <t>vessels</t>
  </si>
  <si>
    <t>Apr 12, 2026</t>
  </si>
  <si>
    <t>Kpler ship tracking as reported by Al Jazeera</t>
  </si>
  <si>
    <t>https://www.aljazeera.com/news/2026/6/11/</t>
  </si>
  <si>
    <t>Daily transits on most recent PortWatch published day</t>
  </si>
  <si>
    <t>Jul 5, 2026</t>
  </si>
  <si>
    <t>Hormuz event</t>
  </si>
  <si>
    <t>Iran declares strait closed; attacks on transiting ships begin</t>
  </si>
  <si>
    <t>Mar 4, 2026</t>
  </si>
  <si>
    <t>date</t>
  </si>
  <si>
    <t>Mar 2026</t>
  </si>
  <si>
    <t>US Congressional Research Service, report R45281</t>
  </si>
  <si>
    <t>https://www.congress.gov/crs-product/R45281</t>
  </si>
  <si>
    <t>Confirmed attacks on ships (10) and crew deaths (5) by Mar 8</t>
  </si>
  <si>
    <t>attacks</t>
  </si>
  <si>
    <t>Mar 8, 2026</t>
  </si>
  <si>
    <t>UKMTO via US Congressional Research Service</t>
  </si>
  <si>
    <t>Confirmed attacks on ships; 14 seafarer deaths; ~1,000 ships and 20,000 crew stranded</t>
  </si>
  <si>
    <t>Jun 11, 2026</t>
  </si>
  <si>
    <t>International Maritime Organization (IMO) via Wikipedia event page</t>
  </si>
  <si>
    <t>https://en.wikipedia.org/wiki/2026_Strait_of_Hormuz_campaign</t>
  </si>
  <si>
    <t>Hormuz oil</t>
  </si>
  <si>
    <t>Gulf oil production shut in after closure</t>
  </si>
  <si>
    <t>million bpd</t>
  </si>
  <si>
    <t>IEA via crisis timeline reporting</t>
  </si>
  <si>
    <t>https://hormuzstraitmonitor.com/crisis-timeline/</t>
  </si>
  <si>
    <t>Oil price</t>
  </si>
  <si>
    <t>Brent crude, pre war level</t>
  </si>
  <si>
    <t>USD/barrel</t>
  </si>
  <si>
    <t>Feb 2026</t>
  </si>
  <si>
    <t>Al Jazeera market reporting</t>
  </si>
  <si>
    <t>Brent crude, crisis peak</t>
  </si>
  <si>
    <t>2026 peak</t>
  </si>
  <si>
    <t>War risk insurance</t>
  </si>
  <si>
    <t>Hormuz additional war risk premium, pre conflict</t>
  </si>
  <si>
    <t>% of hull value</t>
  </si>
  <si>
    <t>Caixin Global (shipping company contracts)</t>
  </si>
  <si>
    <t>https://www.caixinglobal.com/2026-03-07/</t>
  </si>
  <si>
    <t>Hormuz additional war risk premium, early March 2026 (7 day renewable)</t>
  </si>
  <si>
    <t>Mar 7, 2026</t>
  </si>
  <si>
    <t>Hormuz premium quoted for $100m hull, April 2026</t>
  </si>
  <si>
    <t>Apr 28, 2026</t>
  </si>
  <si>
    <t>Al Jazeera citing underwriters (Seikaly)</t>
  </si>
  <si>
    <t>https://www.aljazeera.com/features/2026/4/28/</t>
  </si>
  <si>
    <t>Red Sea additional war risk premium, pre October 2023</t>
  </si>
  <si>
    <t>Oct 2023</t>
  </si>
  <si>
    <t>Joint War Committee designations via legal press (Policyholder Pulse)</t>
  </si>
  <si>
    <t>https://www.policyholderpulse.com/</t>
  </si>
  <si>
    <t>Red Sea additional war risk premium, 2024 peak</t>
  </si>
  <si>
    <t>2024</t>
  </si>
  <si>
    <t>Red Sea additional war risk premium after Oct 2025 ceasefire</t>
  </si>
  <si>
    <t>Dec 2025</t>
  </si>
  <si>
    <t>Marsh brokerage (head of marine) as quoted in trade press</t>
  </si>
  <si>
    <t>https://www.spglobal.com/energy/en/news-research/latest-news/shipping/120425</t>
  </si>
  <si>
    <t>Suez / Red Sea</t>
  </si>
  <si>
    <t>Suez transits vs pre diversion baseline, early 2026</t>
  </si>
  <si>
    <t>% change</t>
  </si>
  <si>
    <t>Early 2026</t>
  </si>
  <si>
    <t>Intl Sustainable Development Observatory (ISDO) analysis of SCA data</t>
  </si>
  <si>
    <t>https://isdo.ch/analysis-of-maritime-geopolitics-on-early-2026-the-red-sea-factor/</t>
  </si>
  <si>
    <t>Red Sea / Bab el Mandeb 2025 transits vs 2023 volumes</t>
  </si>
  <si>
    <t>% of 2023 (midpoint of 35-40)</t>
  </si>
  <si>
    <t>2025</t>
  </si>
  <si>
    <t>ISDO analysis</t>
  </si>
  <si>
    <t>Suez Canal annual revenue, FY2023</t>
  </si>
  <si>
    <t>USD billion</t>
  </si>
  <si>
    <t>FY2023</t>
  </si>
  <si>
    <t>Suez Canal Authority figures (widely reported)</t>
  </si>
  <si>
    <t>https://en.wikipedia.org/wiki/2026_Strait_of_Hormuz_crisis</t>
  </si>
  <si>
    <t>Suez Canal annual revenue after diversions</t>
  </si>
  <si>
    <t>https://content.ballastmarkets.com/chokepoints/bab-el-mandeb/</t>
  </si>
  <si>
    <t>Bab el Mandeb</t>
  </si>
  <si>
    <t>Monthly transits, pre attack norm (approx)</t>
  </si>
  <si>
    <t>vessels/month</t>
  </si>
  <si>
    <t>Nov 2023</t>
  </si>
  <si>
    <t>Lloyd's List press reporting of chokepoint counts</t>
  </si>
  <si>
    <t>https://www.lloydslist.com/LL1155761/</t>
  </si>
  <si>
    <t>Monthly transits, post exodus high</t>
  </si>
  <si>
    <t>Nov 2025</t>
  </si>
  <si>
    <t>Lloyd's List press reporting</t>
  </si>
  <si>
    <t>Containership transits, January 2026</t>
  </si>
  <si>
    <t>Jan 2026</t>
  </si>
  <si>
    <t>https://mykn.kuehne-nagel.com/news/article/red-sea-traffic-slows-under-seasonal</t>
  </si>
  <si>
    <t>Cape routing</t>
  </si>
  <si>
    <t>Extra distance via Cape of Good Hope</t>
  </si>
  <si>
    <t>nautical miles (midpoint 3,000-4,000)</t>
  </si>
  <si>
    <t>2026</t>
  </si>
  <si>
    <t>ISDO / CRS</t>
  </si>
  <si>
    <t>https://isdo.ch/</t>
  </si>
  <si>
    <t>Extra transit time via Cape of Good Hope</t>
  </si>
  <si>
    <t>days (midpoint 10-14)</t>
  </si>
  <si>
    <t>Extra fuel cost per diverted voyage</t>
  </si>
  <si>
    <t>USD million</t>
  </si>
  <si>
    <t>Freight rates</t>
  </si>
  <si>
    <t>Transpacific rates to US West Coast vs pre war</t>
  </si>
  <si>
    <t>% increase</t>
  </si>
  <si>
    <t>Apr 2026</t>
  </si>
  <si>
    <t>Trade press consensus following Hormuz closure</t>
  </si>
  <si>
    <t>https://www.seavantage.com/blog/strait-of-hormuz-crisis-2026-shipping-disruption-timeline</t>
  </si>
  <si>
    <t>Asia to North Europe rates vs pre war</t>
  </si>
  <si>
    <t>My Analysis 1: Transit Collapse and Volatility Metrics (all computed cells are formulas)</t>
  </si>
  <si>
    <t>A. Strait of Hormuz daily transits (source: 1_Source_Data rows 2, 3, 4, 5, 6)</t>
  </si>
  <si>
    <t>Period</t>
  </si>
  <si>
    <t>Daily transits</t>
  </si>
  <si>
    <t>% of 83/day baseline</t>
  </si>
  <si>
    <t>Change vs prior period</t>
  </si>
  <si>
    <t>Pre crisis baseline</t>
  </si>
  <si>
    <t>Jan to mid Feb 2026 (7dma)</t>
  </si>
  <si>
    <t>Two weeks pre closure (7dma)</t>
  </si>
  <si>
    <t>Feb 28 to Apr 12 average</t>
  </si>
  <si>
    <t>Computed volatility statistics</t>
  </si>
  <si>
    <t>Maximum drawdown vs pre closure peak</t>
  </si>
  <si>
    <t>Wartime trough as share of baseline</t>
  </si>
  <si>
    <t>Recovery by Jul 2026 (vs baseline)</t>
  </si>
  <si>
    <t>Coefficient of variation across periods</t>
  </si>
  <si>
    <t>B. Bab el Mandeb monthly transits (source: 1_Source_Data rows 23, 24)</t>
  </si>
  <si>
    <t>Monthly transits</t>
  </si>
  <si>
    <t>Index (pre attack = 100)</t>
  </si>
  <si>
    <t>Pre attack norm (Nov 2023)</t>
  </si>
  <si>
    <t>Post exodus high (Nov 2025)</t>
  </si>
  <si>
    <t>Best month of the recovery still ran at only this share of normal:</t>
  </si>
  <si>
    <t>C. Analytical read</t>
  </si>
  <si>
    <t>Even the strongest month of the two year recovery (Nov 2025) restored under two thirds of normal Bab el Mandeb traffic, and Hormuz went from 127% of baseline to under 10% within roughly ten days of Feb 28, 2026. A weekly data refresh cycle is mathematically incapable of capturing a move of that speed; this quantifies the case for hourly telemetry in the report.</t>
  </si>
  <si>
    <t>My Analysis 2: Landed Cost per 40ft Container (FEU), Asia to North Europe, Three Routings</t>
  </si>
  <si>
    <t>All blue cells are assumptions you can change; all outputs are formulas.</t>
  </si>
  <si>
    <t>Assumptions</t>
  </si>
  <si>
    <t>Pre war base ocean freight, Asia to N Europe ($/FEU)</t>
  </si>
  <si>
    <t>Assumption anchored to reported ~20% wartime uplift on this lane (Source_Data row 30)</t>
  </si>
  <si>
    <t>Wartime rate uplift on lane (%)</t>
  </si>
  <si>
    <t>Trade press consensus, Apr 2026 (Source_Data row 30)</t>
  </si>
  <si>
    <t>Cargo value per FEU ($)</t>
  </si>
  <si>
    <t>Assumption: mid value consumer goods</t>
  </si>
  <si>
    <t>Cargo war risk endorsement if using Red Sea (% of cargo value)</t>
  </si>
  <si>
    <t>Midpoint of 0.5% to 1.0% endorsements seen in 2024-2025 conflict windows</t>
  </si>
  <si>
    <t>Extra transit days via Cape vs Suez</t>
  </si>
  <si>
    <t>Source_Data row 27</t>
  </si>
  <si>
    <t>Inventory carrying cost (% of cargo value per year)</t>
  </si>
  <si>
    <t>Standard industry assumption: capital + storage + obsolescence</t>
  </si>
  <si>
    <t>Sea air hybrid premium over ocean base ($/FEU equivalent)</t>
  </si>
  <si>
    <t>Assumption: air leg Dubai to Europe on ~30% of cargo weight</t>
  </si>
  <si>
    <t>Sea air days saved vs Cape</t>
  </si>
  <si>
    <t>Assumption: 10 day sea leg + 2 day air vs 28 day Cape leg</t>
  </si>
  <si>
    <t>Routing comparison (per FEU)</t>
  </si>
  <si>
    <t>Cost component</t>
  </si>
  <si>
    <t>Suez (risk on)</t>
  </si>
  <si>
    <t>Cape of Good Hope</t>
  </si>
  <si>
    <t>Sea air via Dubai</t>
  </si>
  <si>
    <t>Ocean freight</t>
  </si>
  <si>
    <t>War risk cargo endorsement</t>
  </si>
  <si>
    <t>Extra inventory carrying cost of slower transit</t>
  </si>
  <si>
    <t>Mode premium (air leg)</t>
  </si>
  <si>
    <t>Total landed cost adder per FEU</t>
  </si>
  <si>
    <t>Total transit time (days, indicative: Suez 26 base)</t>
  </si>
  <si>
    <t>Cost per day saved, Sea air vs Cape ($/FEU/day)</t>
  </si>
  <si>
    <t>Read: with these inputs, the Cape's hidden cost is inventory time, not freight; sea air buys back days at a computable price per day, which is exactly the pretrade tradeoff a dynamic GTM engine should run per order.</t>
  </si>
  <si>
    <t>My Analysis 3: War Risk Premium Cost per Transit by Hull Value</t>
  </si>
  <si>
    <t>Premium rates from 1_Source_Data rows 13-18; dollar costs are formulas.</t>
  </si>
  <si>
    <t>Scenario</t>
  </si>
  <si>
    <t>Premium (% hull)</t>
  </si>
  <si>
    <t>Cost per transit, $50m hull</t>
  </si>
  <si>
    <t>Cost per transit, $100m hull</t>
  </si>
  <si>
    <t>Cost per transit, $150m hull</t>
  </si>
  <si>
    <t>Multiple of pre conflict (at $100m)</t>
  </si>
  <si>
    <t>Hormuz pre conflict</t>
  </si>
  <si>
    <t>Hormuz early March 2026</t>
  </si>
  <si>
    <t>Hormuz April 2026 quote</t>
  </si>
  <si>
    <t>Red Sea pre Oct 2023</t>
  </si>
  <si>
    <t>Red Sea 2024 peak</t>
  </si>
  <si>
    <t>Red Sea after Oct 2025 ceasefire</t>
  </si>
  <si>
    <t>Annualization note: March 2026 Hormuz cover renewed every 7 days, so a vessel operating the corridor continuously would face the per transit cost roughly weekly, an annualized burden formula shown below for a $100m hull:</t>
  </si>
  <si>
    <t>Annualized Hormuz cover at early March rate, $100m hull (52 renewals)</t>
  </si>
  <si>
    <t>Analytical Findings Feeding the Report</t>
  </si>
  <si>
    <t>F1. Volatility outpaces any batch cycle</t>
  </si>
  <si>
    <t>Hormuz moved from 127% of its transit baseline to a wartime trough near 8% of baseline within about ten days (Sheet 2). No weekly EDI refresh can register a move of that speed; only streaming telemetry can.</t>
  </si>
  <si>
    <t>F2. Recovery is structurally incomplete</t>
  </si>
  <si>
    <t>Five months into the crisis, Jul 2026 Hormuz traffic runs at roughly 41% of baseline, and the best month of the entire Red Sea recovery reached only ~63% of normal (Sheet 2). Planning systems should treat suppressed capacity as the base case, not the exception.</t>
  </si>
  <si>
    <t>F3. Insurance is now a routing variable, not a surcharge</t>
  </si>
  <si>
    <t>The same voyage's war risk cost spans a 40x range depending on corridor and week (Sheet 4): from $50k on a calm Red Sea week to $5m on a $100m hull at April 2026 Hormuz quotes. Landed cost engines that hold insurance constant misprice every order.</t>
  </si>
  <si>
    <t>F4. The Cape's real cost is time, not freight</t>
  </si>
  <si>
    <t>In the cost model (Sheet 3), inventory carrying cost of 12 extra days on an $80k FEU adds ~$526, comparable in magnitude to reported per container freight premiums. Sea air buys days back at a computable dollar per day rate, which is the scenario comparison a pretrade GTM engine should automate.</t>
  </si>
  <si>
    <t>F5. Fiscal proof of permanence</t>
  </si>
  <si>
    <t>Suez Canal revenue fell from $9.4bn to $6.4bn, a 32% decline sustained across two fiscal cycles (Sheet 1 rows 21-22). States and carriers alike are behaving as if diversion is structural; software should too.</t>
  </si>
  <si>
    <t xml:space="preserve">Forty Feet equivalent unit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</si>
</sst>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
    <numFmt numFmtId="167" formatCode="0.0\x"/>
  </numFmts>
  <fonts count="10" x14ac:knownFonts="1">
    <font>
      <sz val="11"/>
      <color theme="1"/>
      <name val="Calibri"/>
      <family val="2"/>
      <charset val="1"/>
    </font>
    <font>
      <b/>
      <sz val="14"/>
      <color rgb="FF101828"/>
      <name val="Arial"/>
      <family val="2"/>
    </font>
    <font>
      <i/>
      <sz val="9"/>
      <color rgb="FF667085"/>
      <name val="Arial"/>
      <family val="2"/>
    </font>
    <font>
      <b/>
      <sz val="10"/>
      <color rgb="FF101828"/>
      <name val="Arial"/>
      <family val="2"/>
    </font>
    <font>
      <sz val="10"/>
      <color rgb="FF101828"/>
      <name val="Arial"/>
      <family val="2"/>
    </font>
    <font>
      <b/>
      <sz val="10"/>
      <color rgb="FFFFFFFF"/>
      <name val="Arial"/>
      <family val="2"/>
    </font>
    <font>
      <sz val="10"/>
      <color rgb="FF0000FF"/>
      <name val="Arial"/>
      <family val="2"/>
    </font>
    <font>
      <sz val="8"/>
      <color rgb="FF667085"/>
      <name val="Arial"/>
      <family val="2"/>
    </font>
    <font>
      <sz val="10"/>
      <color rgb="FF000000"/>
      <name val="Arial"/>
      <family val="2"/>
    </font>
    <font>
      <u/>
      <sz val="11"/>
      <color theme="10"/>
      <name val="Calibri"/>
      <family val="2"/>
      <charset val="1"/>
    </font>
  </fonts>
  <fills count="9">
    <fill>
      <patternFill patternType="none"/>
    </fill>
    <fill>
      <patternFill patternType="gray125"/>
    </fill>
    <fill>
      <patternFill patternType="solid">
        <fgColor rgb="FF5A1CE2"/>
        <bgColor rgb="FF800080"/>
      </patternFill>
    </fill>
    <fill>
      <patternFill patternType="solid">
        <fgColor rgb="FFF2F4F7"/>
        <bgColor rgb="FFFFFFFF"/>
      </patternFill>
    </fill>
    <fill>
      <patternFill patternType="solid">
        <fgColor rgb="FFFFFF00"/>
        <bgColor rgb="FFFFFF00"/>
      </patternFill>
    </fill>
    <fill>
      <patternFill patternType="solid">
        <fgColor rgb="FFE2D9FC"/>
        <bgColor rgb="FFD0D5DD"/>
      </patternFill>
    </fill>
    <fill>
      <patternFill patternType="solid">
        <fgColor theme="1"/>
        <bgColor rgb="FF800080"/>
      </patternFill>
    </fill>
    <fill>
      <patternFill patternType="solid">
        <fgColor theme="4"/>
        <bgColor rgb="FF800080"/>
      </patternFill>
    </fill>
    <fill>
      <patternFill patternType="solid">
        <fgColor theme="3"/>
        <bgColor rgb="FF800080"/>
      </patternFill>
    </fill>
  </fills>
  <borders count="2">
    <border>
      <left/>
      <right/>
      <top/>
      <bottom/>
      <diagonal/>
    </border>
    <border>
      <left style="thin">
        <color rgb="FFD0D5DD"/>
      </left>
      <right style="thin">
        <color rgb="FFD0D5DD"/>
      </right>
      <top style="thin">
        <color rgb="FFD0D5DD"/>
      </top>
      <bottom style="thin">
        <color rgb="FFD0D5DD"/>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4" fillId="0" borderId="0" xfId="0" applyFont="1" applyAlignment="1">
      <alignment vertical="top" wrapText="1"/>
    </xf>
    <xf numFmtId="0" fontId="1" fillId="0" borderId="0" xfId="0" applyFont="1"/>
    <xf numFmtId="0" fontId="2" fillId="0" borderId="0" xfId="0" applyFont="1"/>
    <xf numFmtId="0" fontId="3" fillId="0" borderId="0" xfId="0" applyFont="1"/>
    <xf numFmtId="0" fontId="5" fillId="2" borderId="1" xfId="0" applyFont="1" applyFill="1" applyBorder="1"/>
    <xf numFmtId="0" fontId="4" fillId="3" borderId="0" xfId="0" applyFont="1" applyFill="1"/>
    <xf numFmtId="0" fontId="4" fillId="3" borderId="1" xfId="0" applyFont="1" applyFill="1" applyBorder="1" applyAlignment="1">
      <alignment vertical="top" wrapText="1"/>
    </xf>
    <xf numFmtId="0" fontId="6" fillId="3" borderId="1" xfId="0" applyFont="1" applyFill="1" applyBorder="1" applyAlignment="1">
      <alignment vertical="top" wrapText="1"/>
    </xf>
    <xf numFmtId="0" fontId="7" fillId="3" borderId="1" xfId="0" applyFont="1" applyFill="1" applyBorder="1" applyAlignment="1">
      <alignment vertical="top" wrapText="1"/>
    </xf>
    <xf numFmtId="0" fontId="4" fillId="0" borderId="0" xfId="0" applyFont="1"/>
    <xf numFmtId="0" fontId="4" fillId="0" borderId="1" xfId="0" applyFont="1" applyBorder="1" applyAlignment="1">
      <alignment vertical="top" wrapText="1"/>
    </xf>
    <xf numFmtId="0" fontId="6" fillId="0" borderId="1" xfId="0" applyFont="1" applyBorder="1" applyAlignment="1">
      <alignment vertical="top" wrapText="1"/>
    </xf>
    <xf numFmtId="0" fontId="7" fillId="0" borderId="1" xfId="0" applyFont="1" applyBorder="1" applyAlignment="1">
      <alignment vertical="top" wrapText="1"/>
    </xf>
    <xf numFmtId="0" fontId="4" fillId="0" borderId="1" xfId="0" applyFont="1" applyBorder="1"/>
    <xf numFmtId="164" fontId="8" fillId="0" borderId="1" xfId="0" applyNumberFormat="1" applyFont="1" applyBorder="1"/>
    <xf numFmtId="165" fontId="8" fillId="0" borderId="1" xfId="0" applyNumberFormat="1" applyFont="1" applyBorder="1"/>
    <xf numFmtId="0" fontId="0" fillId="0" borderId="1" xfId="0" applyBorder="1"/>
    <xf numFmtId="2" fontId="8" fillId="0" borderId="1" xfId="0" applyNumberFormat="1" applyFont="1" applyBorder="1"/>
    <xf numFmtId="3" fontId="8" fillId="0" borderId="1" xfId="0" applyNumberFormat="1" applyFont="1" applyBorder="1"/>
    <xf numFmtId="1" fontId="8" fillId="0" borderId="1" xfId="0" applyNumberFormat="1" applyFont="1" applyBorder="1"/>
    <xf numFmtId="166" fontId="6" fillId="4" borderId="1" xfId="0" applyNumberFormat="1" applyFont="1" applyFill="1" applyBorder="1"/>
    <xf numFmtId="165" fontId="6" fillId="0" borderId="1" xfId="0" applyNumberFormat="1" applyFont="1" applyBorder="1"/>
    <xf numFmtId="1" fontId="6" fillId="0" borderId="1" xfId="0" applyNumberFormat="1" applyFont="1" applyBorder="1"/>
    <xf numFmtId="166" fontId="6" fillId="0" borderId="1" xfId="0" applyNumberFormat="1" applyFont="1" applyBorder="1"/>
    <xf numFmtId="166" fontId="8" fillId="0" borderId="1" xfId="0" applyNumberFormat="1" applyFont="1" applyBorder="1"/>
    <xf numFmtId="0" fontId="3" fillId="5" borderId="1" xfId="0" applyFont="1" applyFill="1" applyBorder="1"/>
    <xf numFmtId="166" fontId="8" fillId="5" borderId="1" xfId="0" applyNumberFormat="1" applyFont="1" applyFill="1" applyBorder="1"/>
    <xf numFmtId="0" fontId="8" fillId="0" borderId="1" xfId="0" applyFont="1" applyBorder="1"/>
    <xf numFmtId="10" fontId="8" fillId="0" borderId="1" xfId="0" applyNumberFormat="1" applyFont="1" applyBorder="1"/>
    <xf numFmtId="167" fontId="8" fillId="0" borderId="1" xfId="0" applyNumberFormat="1" applyFont="1" applyBorder="1"/>
    <xf numFmtId="0" fontId="5" fillId="6" borderId="1" xfId="0" applyFont="1" applyFill="1" applyBorder="1"/>
    <xf numFmtId="0" fontId="5" fillId="7" borderId="1" xfId="0" applyFont="1" applyFill="1" applyBorder="1"/>
    <xf numFmtId="0" fontId="5" fillId="8" borderId="1" xfId="0" applyFont="1" applyFill="1" applyBorder="1"/>
    <xf numFmtId="0" fontId="9" fillId="0" borderId="1" xfId="1" applyBorder="1" applyAlignment="1">
      <alignment vertical="top" wrapText="1"/>
    </xf>
    <xf numFmtId="1" fontId="0" fillId="0" borderId="0" xfId="0" applyNumberFormat="1"/>
    <xf numFmtId="0" fontId="4" fillId="0" borderId="0" xfId="0" applyFont="1" applyAlignment="1">
      <alignment vertical="top" wrapText="1"/>
    </xf>
    <xf numFmtId="166" fontId="0" fillId="0" borderId="0" xfId="0" applyNumberFormat="1"/>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4F7"/>
      <rgbColor rgb="FFE2D9FC"/>
      <rgbColor rgb="FF660066"/>
      <rgbColor rgb="FFFF8080"/>
      <rgbColor rgb="FF0066CC"/>
      <rgbColor rgb="FFD0D5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7085"/>
      <rgbColor rgb="FF969696"/>
      <rgbColor rgb="FF003366"/>
      <rgbColor rgb="FF339966"/>
      <rgbColor rgb="FF101828"/>
      <rgbColor rgb="FF333300"/>
      <rgbColor rgb="FF993300"/>
      <rgbColor rgb="FF993366"/>
      <rgbColor rgb="FF5A1CE2"/>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seavantage.com/blog/strait-of-hormuz-crisis-2026-shipping-disruption-time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zoomScaleNormal="100" workbookViewId="0"/>
  </sheetViews>
  <sheetFormatPr defaultColWidth="8.6640625" defaultRowHeight="14.25" x14ac:dyDescent="0.45"/>
  <cols>
    <col min="1" max="1" width="16" customWidth="1"/>
    <col min="2" max="2" width="110" customWidth="1"/>
  </cols>
  <sheetData>
    <row r="1" spans="1:2" ht="17.649999999999999" x14ac:dyDescent="0.5">
      <c r="A1" s="2" t="s">
        <v>0</v>
      </c>
    </row>
    <row r="2" spans="1:2" x14ac:dyDescent="0.45">
      <c r="A2" s="3" t="s">
        <v>1</v>
      </c>
    </row>
    <row r="3" spans="1:2" x14ac:dyDescent="0.45">
      <c r="A3" s="4"/>
      <c r="B3" s="1"/>
    </row>
    <row r="4" spans="1:2" ht="45.75" customHeight="1" x14ac:dyDescent="0.45">
      <c r="A4" s="4" t="s">
        <v>2</v>
      </c>
      <c r="B4" s="1" t="s">
        <v>3</v>
      </c>
    </row>
    <row r="5" spans="1:2" ht="45.75" customHeight="1" x14ac:dyDescent="0.45">
      <c r="A5" s="4" t="s">
        <v>4</v>
      </c>
      <c r="B5" s="1" t="s">
        <v>5</v>
      </c>
    </row>
    <row r="6" spans="1:2" ht="45.75" customHeight="1" x14ac:dyDescent="0.45">
      <c r="A6" s="4" t="s">
        <v>6</v>
      </c>
      <c r="B6" s="1" t="s">
        <v>7</v>
      </c>
    </row>
    <row r="7" spans="1:2" ht="45.75" customHeight="1" x14ac:dyDescent="0.45">
      <c r="A7" s="4" t="s">
        <v>8</v>
      </c>
      <c r="B7" s="1" t="s">
        <v>9</v>
      </c>
    </row>
    <row r="8" spans="1:2" ht="45.75" customHeight="1" x14ac:dyDescent="0.45">
      <c r="A8" s="4" t="s">
        <v>10</v>
      </c>
      <c r="B8" s="1" t="s">
        <v>11</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opLeftCell="C1" zoomScale="98" zoomScaleNormal="100" workbookViewId="0">
      <pane ySplit="1" topLeftCell="A4" activePane="bottomLeft" state="frozen"/>
      <selection pane="bottomLeft" activeCell="C8" sqref="C8"/>
    </sheetView>
  </sheetViews>
  <sheetFormatPr defaultColWidth="8.6640625" defaultRowHeight="14.25" x14ac:dyDescent="0.45"/>
  <cols>
    <col min="1" max="1" width="4" customWidth="1"/>
    <col min="2" max="2" width="18" customWidth="1"/>
    <col min="3" max="3" width="46" customWidth="1"/>
    <col min="4" max="4" width="12" customWidth="1"/>
    <col min="5" max="5" width="22" customWidth="1"/>
    <col min="6" max="6" width="12" customWidth="1"/>
    <col min="7" max="7" width="44" customWidth="1"/>
    <col min="8" max="8" width="40" customWidth="1"/>
  </cols>
  <sheetData>
    <row r="1" spans="1:8" x14ac:dyDescent="0.45">
      <c r="A1" s="5" t="s">
        <v>12</v>
      </c>
      <c r="B1" s="5" t="s">
        <v>13</v>
      </c>
      <c r="C1" s="5" t="s">
        <v>14</v>
      </c>
      <c r="D1" s="5" t="s">
        <v>15</v>
      </c>
      <c r="E1" s="5" t="s">
        <v>16</v>
      </c>
      <c r="F1" s="5" t="s">
        <v>17</v>
      </c>
      <c r="G1" s="5" t="s">
        <v>18</v>
      </c>
      <c r="H1" s="5" t="s">
        <v>19</v>
      </c>
    </row>
    <row r="2" spans="1:8" ht="25.5" x14ac:dyDescent="0.45">
      <c r="A2" s="6">
        <v>1</v>
      </c>
      <c r="B2" s="7" t="s">
        <v>20</v>
      </c>
      <c r="C2" s="7" t="s">
        <v>21</v>
      </c>
      <c r="D2" s="8">
        <v>83</v>
      </c>
      <c r="E2" s="7" t="s">
        <v>22</v>
      </c>
      <c r="F2" s="7" t="s">
        <v>23</v>
      </c>
      <c r="G2" s="7" t="s">
        <v>24</v>
      </c>
      <c r="H2" s="9" t="s">
        <v>25</v>
      </c>
    </row>
    <row r="3" spans="1:8" ht="25.5" x14ac:dyDescent="0.45">
      <c r="A3" s="10">
        <v>2</v>
      </c>
      <c r="B3" s="11" t="s">
        <v>20</v>
      </c>
      <c r="C3" s="11" t="s">
        <v>26</v>
      </c>
      <c r="D3" s="12">
        <v>75</v>
      </c>
      <c r="E3" s="11" t="s">
        <v>22</v>
      </c>
      <c r="F3" s="11" t="s">
        <v>27</v>
      </c>
      <c r="G3" s="11" t="s">
        <v>28</v>
      </c>
      <c r="H3" s="13" t="s">
        <v>29</v>
      </c>
    </row>
    <row r="4" spans="1:8" ht="25.5" x14ac:dyDescent="0.45">
      <c r="A4" s="6">
        <v>3</v>
      </c>
      <c r="B4" s="7" t="s">
        <v>20</v>
      </c>
      <c r="C4" s="7" t="s">
        <v>30</v>
      </c>
      <c r="D4" s="8">
        <v>105</v>
      </c>
      <c r="E4" s="7" t="s">
        <v>22</v>
      </c>
      <c r="F4" s="7" t="s">
        <v>31</v>
      </c>
      <c r="G4" s="7" t="s">
        <v>28</v>
      </c>
      <c r="H4" s="9" t="s">
        <v>29</v>
      </c>
    </row>
    <row r="5" spans="1:8" x14ac:dyDescent="0.45">
      <c r="A5" s="10">
        <v>4</v>
      </c>
      <c r="B5" s="11" t="s">
        <v>20</v>
      </c>
      <c r="C5" s="11" t="s">
        <v>32</v>
      </c>
      <c r="D5" s="12">
        <v>279</v>
      </c>
      <c r="E5" s="11" t="s">
        <v>33</v>
      </c>
      <c r="F5" s="11" t="s">
        <v>34</v>
      </c>
      <c r="G5" s="11" t="s">
        <v>35</v>
      </c>
      <c r="H5" s="13" t="s">
        <v>36</v>
      </c>
    </row>
    <row r="6" spans="1:8" ht="25.5" x14ac:dyDescent="0.45">
      <c r="A6" s="6">
        <v>5</v>
      </c>
      <c r="B6" s="7" t="s">
        <v>20</v>
      </c>
      <c r="C6" s="7" t="s">
        <v>37</v>
      </c>
      <c r="D6" s="8">
        <v>34</v>
      </c>
      <c r="E6" s="7" t="s">
        <v>22</v>
      </c>
      <c r="F6" s="7" t="s">
        <v>38</v>
      </c>
      <c r="G6" s="7" t="s">
        <v>24</v>
      </c>
      <c r="H6" s="9" t="s">
        <v>25</v>
      </c>
    </row>
    <row r="7" spans="1:8" ht="25.5" x14ac:dyDescent="0.45">
      <c r="A7" s="10">
        <v>6</v>
      </c>
      <c r="B7" s="11" t="s">
        <v>39</v>
      </c>
      <c r="C7" s="11" t="s">
        <v>40</v>
      </c>
      <c r="D7" s="12" t="s">
        <v>41</v>
      </c>
      <c r="E7" s="11" t="s">
        <v>42</v>
      </c>
      <c r="F7" s="11" t="s">
        <v>43</v>
      </c>
      <c r="G7" s="11" t="s">
        <v>44</v>
      </c>
      <c r="H7" s="13" t="s">
        <v>45</v>
      </c>
    </row>
    <row r="8" spans="1:8" ht="25.5" x14ac:dyDescent="0.45">
      <c r="A8" s="6">
        <v>7</v>
      </c>
      <c r="B8" s="7" t="s">
        <v>39</v>
      </c>
      <c r="C8" s="7" t="s">
        <v>46</v>
      </c>
      <c r="D8" s="8">
        <v>10</v>
      </c>
      <c r="E8" s="7" t="s">
        <v>47</v>
      </c>
      <c r="F8" s="7" t="s">
        <v>48</v>
      </c>
      <c r="G8" s="7" t="s">
        <v>49</v>
      </c>
      <c r="H8" s="9" t="s">
        <v>45</v>
      </c>
    </row>
    <row r="9" spans="1:8" ht="25.5" x14ac:dyDescent="0.45">
      <c r="A9" s="10">
        <v>8</v>
      </c>
      <c r="B9" s="11" t="s">
        <v>39</v>
      </c>
      <c r="C9" s="11" t="s">
        <v>50</v>
      </c>
      <c r="D9" s="12">
        <v>46</v>
      </c>
      <c r="E9" s="11" t="s">
        <v>47</v>
      </c>
      <c r="F9" s="11" t="s">
        <v>51</v>
      </c>
      <c r="G9" s="11" t="s">
        <v>52</v>
      </c>
      <c r="H9" s="13" t="s">
        <v>53</v>
      </c>
    </row>
    <row r="10" spans="1:8" x14ac:dyDescent="0.45">
      <c r="A10" s="6">
        <v>9</v>
      </c>
      <c r="B10" s="7" t="s">
        <v>54</v>
      </c>
      <c r="C10" s="7" t="s">
        <v>55</v>
      </c>
      <c r="D10" s="8">
        <v>6.7</v>
      </c>
      <c r="E10" s="7" t="s">
        <v>56</v>
      </c>
      <c r="F10" s="7" t="s">
        <v>43</v>
      </c>
      <c r="G10" s="7" t="s">
        <v>57</v>
      </c>
      <c r="H10" s="9" t="s">
        <v>58</v>
      </c>
    </row>
    <row r="11" spans="1:8" x14ac:dyDescent="0.45">
      <c r="A11" s="10">
        <v>10</v>
      </c>
      <c r="B11" s="11" t="s">
        <v>59</v>
      </c>
      <c r="C11" s="11" t="s">
        <v>60</v>
      </c>
      <c r="D11" s="12">
        <v>65</v>
      </c>
      <c r="E11" s="11" t="s">
        <v>61</v>
      </c>
      <c r="F11" s="11" t="s">
        <v>62</v>
      </c>
      <c r="G11" s="11" t="s">
        <v>63</v>
      </c>
      <c r="H11" s="13" t="s">
        <v>36</v>
      </c>
    </row>
    <row r="12" spans="1:8" x14ac:dyDescent="0.45">
      <c r="A12" s="6">
        <v>11</v>
      </c>
      <c r="B12" s="7" t="s">
        <v>59</v>
      </c>
      <c r="C12" s="7" t="s">
        <v>64</v>
      </c>
      <c r="D12" s="8">
        <v>126</v>
      </c>
      <c r="E12" s="7" t="s">
        <v>61</v>
      </c>
      <c r="F12" s="7" t="s">
        <v>65</v>
      </c>
      <c r="G12" s="7" t="s">
        <v>63</v>
      </c>
      <c r="H12" s="9" t="s">
        <v>36</v>
      </c>
    </row>
    <row r="13" spans="1:8" x14ac:dyDescent="0.45">
      <c r="A13" s="10">
        <v>12</v>
      </c>
      <c r="B13" s="11" t="s">
        <v>66</v>
      </c>
      <c r="C13" s="11" t="s">
        <v>67</v>
      </c>
      <c r="D13" s="12">
        <v>0.25</v>
      </c>
      <c r="E13" s="11" t="s">
        <v>68</v>
      </c>
      <c r="F13" s="11" t="s">
        <v>62</v>
      </c>
      <c r="G13" s="11" t="s">
        <v>69</v>
      </c>
      <c r="H13" s="13" t="s">
        <v>70</v>
      </c>
    </row>
    <row r="14" spans="1:8" ht="25.5" x14ac:dyDescent="0.45">
      <c r="A14" s="6">
        <v>13</v>
      </c>
      <c r="B14" s="7" t="s">
        <v>66</v>
      </c>
      <c r="C14" s="7" t="s">
        <v>71</v>
      </c>
      <c r="D14" s="8">
        <v>1</v>
      </c>
      <c r="E14" s="7" t="s">
        <v>68</v>
      </c>
      <c r="F14" s="7" t="s">
        <v>72</v>
      </c>
      <c r="G14" s="7" t="s">
        <v>69</v>
      </c>
      <c r="H14" s="9" t="s">
        <v>70</v>
      </c>
    </row>
    <row r="15" spans="1:8" x14ac:dyDescent="0.45">
      <c r="A15" s="10">
        <v>14</v>
      </c>
      <c r="B15" s="11" t="s">
        <v>66</v>
      </c>
      <c r="C15" s="11" t="s">
        <v>73</v>
      </c>
      <c r="D15" s="12">
        <v>5</v>
      </c>
      <c r="E15" s="11" t="s">
        <v>68</v>
      </c>
      <c r="F15" s="11" t="s">
        <v>74</v>
      </c>
      <c r="G15" s="11" t="s">
        <v>75</v>
      </c>
      <c r="H15" s="13" t="s">
        <v>76</v>
      </c>
    </row>
    <row r="16" spans="1:8" ht="25.5" x14ac:dyDescent="0.45">
      <c r="A16" s="6">
        <v>15</v>
      </c>
      <c r="B16" s="7" t="s">
        <v>66</v>
      </c>
      <c r="C16" s="7" t="s">
        <v>77</v>
      </c>
      <c r="D16" s="8">
        <v>0.05</v>
      </c>
      <c r="E16" s="7" t="s">
        <v>68</v>
      </c>
      <c r="F16" s="7" t="s">
        <v>78</v>
      </c>
      <c r="G16" s="7" t="s">
        <v>79</v>
      </c>
      <c r="H16" s="9" t="s">
        <v>80</v>
      </c>
    </row>
    <row r="17" spans="1:8" ht="25.5" x14ac:dyDescent="0.45">
      <c r="A17" s="10">
        <v>16</v>
      </c>
      <c r="B17" s="11" t="s">
        <v>66</v>
      </c>
      <c r="C17" s="11" t="s">
        <v>81</v>
      </c>
      <c r="D17" s="12">
        <v>1</v>
      </c>
      <c r="E17" s="11" t="s">
        <v>68</v>
      </c>
      <c r="F17" s="11" t="s">
        <v>82</v>
      </c>
      <c r="G17" s="11" t="s">
        <v>79</v>
      </c>
      <c r="H17" s="13" t="s">
        <v>80</v>
      </c>
    </row>
    <row r="18" spans="1:8" ht="25.5" x14ac:dyDescent="0.45">
      <c r="A18" s="6">
        <v>17</v>
      </c>
      <c r="B18" s="7" t="s">
        <v>66</v>
      </c>
      <c r="C18" s="7" t="s">
        <v>83</v>
      </c>
      <c r="D18" s="8">
        <v>0.2</v>
      </c>
      <c r="E18" s="7" t="s">
        <v>68</v>
      </c>
      <c r="F18" s="7" t="s">
        <v>84</v>
      </c>
      <c r="G18" s="7" t="s">
        <v>85</v>
      </c>
      <c r="H18" s="9" t="s">
        <v>86</v>
      </c>
    </row>
    <row r="19" spans="1:8" ht="25.5" x14ac:dyDescent="0.45">
      <c r="A19" s="10">
        <v>18</v>
      </c>
      <c r="B19" s="11" t="s">
        <v>87</v>
      </c>
      <c r="C19" s="11" t="s">
        <v>88</v>
      </c>
      <c r="D19" s="12">
        <v>-60</v>
      </c>
      <c r="E19" s="11" t="s">
        <v>89</v>
      </c>
      <c r="F19" s="11" t="s">
        <v>90</v>
      </c>
      <c r="G19" s="11" t="s">
        <v>91</v>
      </c>
      <c r="H19" s="13" t="s">
        <v>92</v>
      </c>
    </row>
    <row r="20" spans="1:8" ht="25.5" x14ac:dyDescent="0.45">
      <c r="A20" s="6">
        <v>19</v>
      </c>
      <c r="B20" s="7" t="s">
        <v>87</v>
      </c>
      <c r="C20" s="7" t="s">
        <v>93</v>
      </c>
      <c r="D20" s="8">
        <v>37.5</v>
      </c>
      <c r="E20" s="7" t="s">
        <v>94</v>
      </c>
      <c r="F20" s="7" t="s">
        <v>95</v>
      </c>
      <c r="G20" s="7" t="s">
        <v>96</v>
      </c>
      <c r="H20" s="9" t="s">
        <v>92</v>
      </c>
    </row>
    <row r="21" spans="1:8" x14ac:dyDescent="0.45">
      <c r="A21" s="10">
        <v>20</v>
      </c>
      <c r="B21" s="11" t="s">
        <v>87</v>
      </c>
      <c r="C21" s="11" t="s">
        <v>97</v>
      </c>
      <c r="D21" s="12">
        <v>9.4</v>
      </c>
      <c r="E21" s="11" t="s">
        <v>98</v>
      </c>
      <c r="F21" s="11" t="s">
        <v>99</v>
      </c>
      <c r="G21" s="11" t="s">
        <v>100</v>
      </c>
      <c r="H21" s="13" t="s">
        <v>101</v>
      </c>
    </row>
    <row r="22" spans="1:8" x14ac:dyDescent="0.45">
      <c r="A22" s="6">
        <v>21</v>
      </c>
      <c r="B22" s="7" t="s">
        <v>87</v>
      </c>
      <c r="C22" s="7" t="s">
        <v>102</v>
      </c>
      <c r="D22" s="8">
        <v>6.4</v>
      </c>
      <c r="E22" s="7" t="s">
        <v>98</v>
      </c>
      <c r="F22" s="7" t="s">
        <v>82</v>
      </c>
      <c r="G22" s="7" t="s">
        <v>100</v>
      </c>
      <c r="H22" s="9" t="s">
        <v>103</v>
      </c>
    </row>
    <row r="23" spans="1:8" x14ac:dyDescent="0.45">
      <c r="A23" s="10">
        <v>22</v>
      </c>
      <c r="B23" s="11" t="s">
        <v>104</v>
      </c>
      <c r="C23" s="11" t="s">
        <v>105</v>
      </c>
      <c r="D23" s="12">
        <v>1800</v>
      </c>
      <c r="E23" s="11" t="s">
        <v>106</v>
      </c>
      <c r="F23" s="11" t="s">
        <v>107</v>
      </c>
      <c r="G23" s="11" t="s">
        <v>108</v>
      </c>
      <c r="H23" s="13" t="s">
        <v>109</v>
      </c>
    </row>
    <row r="24" spans="1:8" x14ac:dyDescent="0.45">
      <c r="A24" s="6">
        <v>23</v>
      </c>
      <c r="B24" s="7" t="s">
        <v>104</v>
      </c>
      <c r="C24" s="7" t="s">
        <v>110</v>
      </c>
      <c r="D24" s="8">
        <v>1128</v>
      </c>
      <c r="E24" s="7" t="s">
        <v>106</v>
      </c>
      <c r="F24" s="7" t="s">
        <v>111</v>
      </c>
      <c r="G24" s="7" t="s">
        <v>112</v>
      </c>
      <c r="H24" s="9" t="s">
        <v>109</v>
      </c>
    </row>
    <row r="25" spans="1:8" ht="20.25" x14ac:dyDescent="0.45">
      <c r="A25" s="10">
        <v>24</v>
      </c>
      <c r="B25" s="11" t="s">
        <v>104</v>
      </c>
      <c r="C25" s="11" t="s">
        <v>113</v>
      </c>
      <c r="D25" s="12">
        <v>41</v>
      </c>
      <c r="E25" s="11" t="s">
        <v>106</v>
      </c>
      <c r="F25" s="11" t="s">
        <v>114</v>
      </c>
      <c r="G25" s="11" t="s">
        <v>112</v>
      </c>
      <c r="H25" s="13" t="s">
        <v>115</v>
      </c>
    </row>
    <row r="26" spans="1:8" ht="25.5" x14ac:dyDescent="0.45">
      <c r="A26" s="6">
        <v>25</v>
      </c>
      <c r="B26" s="7" t="s">
        <v>116</v>
      </c>
      <c r="C26" s="7" t="s">
        <v>117</v>
      </c>
      <c r="D26" s="8">
        <v>3500</v>
      </c>
      <c r="E26" s="7" t="s">
        <v>118</v>
      </c>
      <c r="F26" s="7" t="s">
        <v>119</v>
      </c>
      <c r="G26" s="7" t="s">
        <v>120</v>
      </c>
      <c r="H26" s="9" t="s">
        <v>121</v>
      </c>
    </row>
    <row r="27" spans="1:8" x14ac:dyDescent="0.45">
      <c r="A27" s="10">
        <v>26</v>
      </c>
      <c r="B27" s="11" t="s">
        <v>116</v>
      </c>
      <c r="C27" s="11" t="s">
        <v>122</v>
      </c>
      <c r="D27" s="12">
        <v>12</v>
      </c>
      <c r="E27" s="11" t="s">
        <v>123</v>
      </c>
      <c r="F27" s="11" t="s">
        <v>119</v>
      </c>
      <c r="G27" s="11" t="s">
        <v>120</v>
      </c>
      <c r="H27" s="13" t="s">
        <v>121</v>
      </c>
    </row>
    <row r="28" spans="1:8" x14ac:dyDescent="0.45">
      <c r="A28" s="6">
        <v>27</v>
      </c>
      <c r="B28" s="7" t="s">
        <v>116</v>
      </c>
      <c r="C28" s="7" t="s">
        <v>124</v>
      </c>
      <c r="D28" s="8">
        <v>1</v>
      </c>
      <c r="E28" s="7" t="s">
        <v>125</v>
      </c>
      <c r="F28" s="7" t="s">
        <v>119</v>
      </c>
      <c r="G28" s="7" t="s">
        <v>96</v>
      </c>
      <c r="H28" s="9" t="s">
        <v>121</v>
      </c>
    </row>
    <row r="29" spans="1:8" ht="28.5" x14ac:dyDescent="0.45">
      <c r="A29" s="10">
        <v>28</v>
      </c>
      <c r="B29" s="11" t="s">
        <v>126</v>
      </c>
      <c r="C29" s="11" t="s">
        <v>127</v>
      </c>
      <c r="D29" s="12">
        <v>40</v>
      </c>
      <c r="E29" s="11" t="s">
        <v>128</v>
      </c>
      <c r="F29" s="11" t="s">
        <v>129</v>
      </c>
      <c r="G29" s="11" t="s">
        <v>130</v>
      </c>
      <c r="H29" s="34" t="s">
        <v>131</v>
      </c>
    </row>
    <row r="30" spans="1:8" ht="20.25" x14ac:dyDescent="0.45">
      <c r="A30" s="6">
        <v>29</v>
      </c>
      <c r="B30" s="7" t="s">
        <v>126</v>
      </c>
      <c r="C30" s="7" t="s">
        <v>132</v>
      </c>
      <c r="D30" s="8">
        <v>20</v>
      </c>
      <c r="E30" s="7" t="s">
        <v>128</v>
      </c>
      <c r="F30" s="7" t="s">
        <v>129</v>
      </c>
      <c r="G30" s="7" t="s">
        <v>130</v>
      </c>
      <c r="H30" s="9" t="s">
        <v>131</v>
      </c>
    </row>
  </sheetData>
  <hyperlinks>
    <hyperlink ref="H29" r:id="rId1" xr:uid="{622AF412-1279-4020-A36F-DDDF3EF2668E}"/>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7"/>
  <sheetViews>
    <sheetView topLeftCell="A34" zoomScale="112" zoomScaleNormal="100" workbookViewId="0">
      <selection activeCell="B12" sqref="B12"/>
    </sheetView>
  </sheetViews>
  <sheetFormatPr defaultColWidth="8.6640625" defaultRowHeight="14.25" x14ac:dyDescent="0.45"/>
  <cols>
    <col min="1" max="1" width="40" customWidth="1"/>
    <col min="2" max="2" width="18" customWidth="1"/>
    <col min="3" max="5" width="20" customWidth="1"/>
  </cols>
  <sheetData>
    <row r="1" spans="1:4" ht="17.649999999999999" x14ac:dyDescent="0.5">
      <c r="A1" s="2" t="s">
        <v>133</v>
      </c>
    </row>
    <row r="3" spans="1:4" x14ac:dyDescent="0.45">
      <c r="A3" s="4" t="s">
        <v>134</v>
      </c>
    </row>
    <row r="4" spans="1:4" x14ac:dyDescent="0.45">
      <c r="A4" s="31" t="s">
        <v>135</v>
      </c>
      <c r="B4" s="31" t="s">
        <v>136</v>
      </c>
      <c r="C4" s="31" t="s">
        <v>137</v>
      </c>
      <c r="D4" s="31" t="s">
        <v>138</v>
      </c>
    </row>
    <row r="5" spans="1:4" x14ac:dyDescent="0.45">
      <c r="A5" s="14" t="s">
        <v>139</v>
      </c>
      <c r="B5" s="15">
        <f>'1_Source_Data'!D2</f>
        <v>83</v>
      </c>
      <c r="C5" s="16">
        <f>B5/$B$5</f>
        <v>1</v>
      </c>
      <c r="D5" s="17"/>
    </row>
    <row r="6" spans="1:4" x14ac:dyDescent="0.45">
      <c r="A6" s="14" t="s">
        <v>140</v>
      </c>
      <c r="B6" s="15">
        <f>'1_Source_Data'!D3</f>
        <v>75</v>
      </c>
      <c r="C6" s="16">
        <f>B6/$B$5</f>
        <v>0.90361445783132532</v>
      </c>
      <c r="D6" s="16">
        <f>(B6-B5)/B5</f>
        <v>-9.6385542168674704E-2</v>
      </c>
    </row>
    <row r="7" spans="1:4" x14ac:dyDescent="0.45">
      <c r="A7" s="14" t="s">
        <v>141</v>
      </c>
      <c r="B7" s="15">
        <f>'1_Source_Data'!D4</f>
        <v>105</v>
      </c>
      <c r="C7" s="16">
        <f>B7/$B$5</f>
        <v>1.2650602409638554</v>
      </c>
      <c r="D7" s="16">
        <f>(B7-B6)/B6</f>
        <v>0.4</v>
      </c>
    </row>
    <row r="8" spans="1:4" x14ac:dyDescent="0.45">
      <c r="A8" s="14" t="s">
        <v>142</v>
      </c>
      <c r="B8" s="15">
        <f>'1_Source_Data'!D5/44</f>
        <v>6.3409090909090908</v>
      </c>
      <c r="C8" s="16">
        <f>B8/$B$5</f>
        <v>7.6396495071193865E-2</v>
      </c>
      <c r="D8" s="16">
        <f>(B8-B7)/B7</f>
        <v>-0.93961038961038956</v>
      </c>
    </row>
    <row r="9" spans="1:4" x14ac:dyDescent="0.45">
      <c r="A9" s="14" t="s">
        <v>38</v>
      </c>
      <c r="B9" s="15">
        <f>'1_Source_Data'!D6</f>
        <v>34</v>
      </c>
      <c r="C9" s="16">
        <f>B9/$B$5</f>
        <v>0.40963855421686746</v>
      </c>
      <c r="D9" s="16">
        <f>(B9-B8)/B8</f>
        <v>4.3620071684587813</v>
      </c>
    </row>
    <row r="11" spans="1:4" x14ac:dyDescent="0.45">
      <c r="A11" s="4" t="s">
        <v>143</v>
      </c>
    </row>
    <row r="12" spans="1:4" x14ac:dyDescent="0.45">
      <c r="A12" s="14" t="s">
        <v>144</v>
      </c>
      <c r="B12" s="16">
        <f>(MIN(B5:B9)-B7)/B7</f>
        <v>-0.93961038961038956</v>
      </c>
    </row>
    <row r="13" spans="1:4" x14ac:dyDescent="0.45">
      <c r="A13" s="14" t="s">
        <v>145</v>
      </c>
      <c r="B13" s="16">
        <f>MIN(B8:B9)/B5</f>
        <v>7.6396495071193865E-2</v>
      </c>
    </row>
    <row r="14" spans="1:4" x14ac:dyDescent="0.45">
      <c r="A14" s="14" t="s">
        <v>146</v>
      </c>
      <c r="B14" s="16">
        <f>B9/B5</f>
        <v>0.40963855421686746</v>
      </c>
    </row>
    <row r="15" spans="1:4" x14ac:dyDescent="0.45">
      <c r="A15" s="14" t="s">
        <v>147</v>
      </c>
      <c r="B15" s="18">
        <f>STDEV(B6:B9)/AVERAGE(B5:B9)</f>
        <v>0.71902860694050386</v>
      </c>
    </row>
    <row r="17" spans="1:5" x14ac:dyDescent="0.45">
      <c r="A17" s="4" t="s">
        <v>148</v>
      </c>
    </row>
    <row r="18" spans="1:5" x14ac:dyDescent="0.45">
      <c r="A18" s="32" t="s">
        <v>135</v>
      </c>
      <c r="B18" s="32" t="s">
        <v>149</v>
      </c>
      <c r="C18" s="32" t="s">
        <v>150</v>
      </c>
    </row>
    <row r="19" spans="1:5" x14ac:dyDescent="0.45">
      <c r="A19" s="14" t="s">
        <v>151</v>
      </c>
      <c r="B19" s="19">
        <f>'1_Source_Data'!D23</f>
        <v>1800</v>
      </c>
      <c r="C19" s="20">
        <f>B19/$B$19*100</f>
        <v>100</v>
      </c>
    </row>
    <row r="20" spans="1:5" x14ac:dyDescent="0.45">
      <c r="A20" s="14" t="s">
        <v>152</v>
      </c>
      <c r="B20" s="19">
        <f>'1_Source_Data'!D24</f>
        <v>1128</v>
      </c>
      <c r="C20" s="20">
        <f>B20/$B$19*100</f>
        <v>62.666666666666671</v>
      </c>
    </row>
    <row r="21" spans="1:5" x14ac:dyDescent="0.45">
      <c r="A21" s="10" t="s">
        <v>153</v>
      </c>
      <c r="C21" s="16">
        <f>B20/B19</f>
        <v>0.62666666666666671</v>
      </c>
    </row>
    <row r="23" spans="1:5" x14ac:dyDescent="0.45">
      <c r="A23" s="4" t="s">
        <v>154</v>
      </c>
    </row>
    <row r="24" spans="1:5" ht="15" customHeight="1" x14ac:dyDescent="0.45">
      <c r="A24" s="36" t="s">
        <v>155</v>
      </c>
      <c r="B24" s="36"/>
      <c r="C24" s="36"/>
      <c r="D24" s="36"/>
      <c r="E24" s="36"/>
    </row>
    <row r="25" spans="1:5" x14ac:dyDescent="0.45">
      <c r="A25" s="36"/>
      <c r="B25" s="36"/>
      <c r="C25" s="36"/>
      <c r="D25" s="36"/>
      <c r="E25" s="36"/>
    </row>
    <row r="26" spans="1:5" x14ac:dyDescent="0.45">
      <c r="A26" s="36"/>
      <c r="B26" s="36"/>
      <c r="C26" s="36"/>
      <c r="D26" s="36"/>
      <c r="E26" s="36"/>
    </row>
    <row r="27" spans="1:5" x14ac:dyDescent="0.45">
      <c r="A27" s="36"/>
      <c r="B27" s="36"/>
      <c r="C27" s="36"/>
      <c r="D27" s="36"/>
      <c r="E27" s="36"/>
    </row>
  </sheetData>
  <mergeCells count="1">
    <mergeCell ref="A24:E27"/>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6"/>
  <sheetViews>
    <sheetView tabSelected="1" topLeftCell="A9" zoomScale="113" zoomScaleNormal="100" workbookViewId="0">
      <selection activeCell="B11" sqref="B11"/>
    </sheetView>
  </sheetViews>
  <sheetFormatPr defaultColWidth="8.6640625" defaultRowHeight="14.25" x14ac:dyDescent="0.45"/>
  <cols>
    <col min="1" max="1" width="52" customWidth="1"/>
    <col min="2" max="2" width="20" customWidth="1"/>
    <col min="3" max="3" width="22" customWidth="1"/>
    <col min="4" max="4" width="20" customWidth="1"/>
  </cols>
  <sheetData>
    <row r="1" spans="1:4" ht="17.649999999999999" x14ac:dyDescent="0.5">
      <c r="A1" s="2" t="s">
        <v>156</v>
      </c>
    </row>
    <row r="2" spans="1:4" x14ac:dyDescent="0.45">
      <c r="A2" s="3" t="s">
        <v>157</v>
      </c>
    </row>
    <row r="4" spans="1:4" x14ac:dyDescent="0.45">
      <c r="A4" s="4" t="s">
        <v>158</v>
      </c>
      <c r="B4">
        <v>15000</v>
      </c>
    </row>
    <row r="5" spans="1:4" ht="30.4" x14ac:dyDescent="0.45">
      <c r="A5" s="14" t="s">
        <v>159</v>
      </c>
      <c r="B5" s="21">
        <v>2500</v>
      </c>
      <c r="C5" s="13" t="s">
        <v>160</v>
      </c>
      <c r="D5" t="s">
        <v>215</v>
      </c>
    </row>
    <row r="6" spans="1:4" ht="20.25" x14ac:dyDescent="0.45">
      <c r="A6" s="14" t="s">
        <v>161</v>
      </c>
      <c r="B6" s="22">
        <v>0.2</v>
      </c>
      <c r="C6" s="13" t="s">
        <v>162</v>
      </c>
    </row>
    <row r="7" spans="1:4" ht="20.25" x14ac:dyDescent="0.45">
      <c r="A7" s="14" t="s">
        <v>163</v>
      </c>
      <c r="B7" s="21">
        <v>80000</v>
      </c>
      <c r="C7" s="13" t="s">
        <v>164</v>
      </c>
    </row>
    <row r="8" spans="1:4" ht="30.4" x14ac:dyDescent="0.45">
      <c r="A8" s="14" t="s">
        <v>165</v>
      </c>
      <c r="B8" s="22">
        <v>7.0000000000000001E-3</v>
      </c>
      <c r="C8" s="13" t="s">
        <v>166</v>
      </c>
    </row>
    <row r="9" spans="1:4" x14ac:dyDescent="0.45">
      <c r="A9" s="14" t="s">
        <v>167</v>
      </c>
      <c r="B9" s="23">
        <v>12</v>
      </c>
      <c r="C9" s="13" t="s">
        <v>168</v>
      </c>
    </row>
    <row r="10" spans="1:4" ht="20.25" x14ac:dyDescent="0.45">
      <c r="A10" s="14" t="s">
        <v>169</v>
      </c>
      <c r="B10" s="22">
        <v>0.2</v>
      </c>
      <c r="C10" s="13" t="s">
        <v>170</v>
      </c>
    </row>
    <row r="11" spans="1:4" ht="20.25" x14ac:dyDescent="0.45">
      <c r="A11" s="14" t="s">
        <v>171</v>
      </c>
      <c r="B11" s="24">
        <v>4500</v>
      </c>
      <c r="C11" s="13" t="s">
        <v>172</v>
      </c>
    </row>
    <row r="12" spans="1:4" ht="20.25" x14ac:dyDescent="0.45">
      <c r="A12" s="14" t="s">
        <v>173</v>
      </c>
      <c r="B12" s="23">
        <v>16</v>
      </c>
      <c r="C12" s="13" t="s">
        <v>174</v>
      </c>
    </row>
    <row r="14" spans="1:4" x14ac:dyDescent="0.45">
      <c r="A14" s="4" t="s">
        <v>175</v>
      </c>
    </row>
    <row r="15" spans="1:4" x14ac:dyDescent="0.45">
      <c r="A15" s="33" t="s">
        <v>176</v>
      </c>
      <c r="B15" s="33" t="s">
        <v>177</v>
      </c>
      <c r="C15" s="33" t="s">
        <v>178</v>
      </c>
      <c r="D15" s="33" t="s">
        <v>179</v>
      </c>
    </row>
    <row r="16" spans="1:4" x14ac:dyDescent="0.45">
      <c r="A16" s="14" t="s">
        <v>180</v>
      </c>
      <c r="B16" s="25">
        <f>$B$5*(1+$B$6)</f>
        <v>3000</v>
      </c>
      <c r="C16" s="25">
        <f>$B$5*(1+$B$6)</f>
        <v>3000</v>
      </c>
      <c r="D16" s="25">
        <f>$B$5*(1+$B$6)</f>
        <v>3000</v>
      </c>
    </row>
    <row r="17" spans="1:5" x14ac:dyDescent="0.45">
      <c r="A17" s="14" t="s">
        <v>181</v>
      </c>
      <c r="B17" s="25">
        <f>$B$7*$B$8</f>
        <v>560</v>
      </c>
      <c r="C17" s="25">
        <f>0</f>
        <v>0</v>
      </c>
      <c r="D17" s="25">
        <f>0</f>
        <v>0</v>
      </c>
    </row>
    <row r="18" spans="1:5" x14ac:dyDescent="0.45">
      <c r="A18" s="14" t="s">
        <v>182</v>
      </c>
      <c r="B18" s="25">
        <f>0</f>
        <v>0</v>
      </c>
      <c r="C18" s="25">
        <f>$B$7*$B$10/365*$B$9</f>
        <v>526.02739726027391</v>
      </c>
      <c r="D18" s="25">
        <f>$B$7*$B$10/365*MAX($B$9-$B$12,0)</f>
        <v>0</v>
      </c>
    </row>
    <row r="19" spans="1:5" x14ac:dyDescent="0.45">
      <c r="A19" s="14" t="s">
        <v>183</v>
      </c>
      <c r="B19" s="25">
        <f>0</f>
        <v>0</v>
      </c>
      <c r="C19" s="25">
        <f>0</f>
        <v>0</v>
      </c>
      <c r="D19" s="25">
        <f>$B$11</f>
        <v>4500</v>
      </c>
    </row>
    <row r="20" spans="1:5" x14ac:dyDescent="0.45">
      <c r="A20" s="26" t="s">
        <v>184</v>
      </c>
      <c r="B20" s="27">
        <f>SUM(B16:B19)</f>
        <v>3560</v>
      </c>
      <c r="C20" s="27">
        <f>SUM(C16:C19)</f>
        <v>3526.027397260274</v>
      </c>
      <c r="D20" s="27">
        <f>SUM(D16:D19)</f>
        <v>7500</v>
      </c>
      <c r="E20" s="37">
        <f>D20-C20</f>
        <v>3973.972602739726</v>
      </c>
    </row>
    <row r="21" spans="1:5" x14ac:dyDescent="0.45">
      <c r="A21" s="14" t="s">
        <v>185</v>
      </c>
      <c r="B21" s="28">
        <f>26</f>
        <v>26</v>
      </c>
      <c r="C21" s="20">
        <f>26+$B$9</f>
        <v>38</v>
      </c>
      <c r="D21" s="20">
        <f>26+$B$9-$B$12</f>
        <v>22</v>
      </c>
      <c r="E21" s="35"/>
    </row>
    <row r="22" spans="1:5" x14ac:dyDescent="0.45">
      <c r="A22" s="14" t="s">
        <v>186</v>
      </c>
      <c r="B22" s="17"/>
      <c r="C22" s="17"/>
      <c r="D22" s="25">
        <f>(D20-C20)/$B$12</f>
        <v>248.37328767123287</v>
      </c>
    </row>
    <row r="24" spans="1:5" ht="15" customHeight="1" x14ac:dyDescent="0.45">
      <c r="A24" s="36" t="s">
        <v>187</v>
      </c>
      <c r="B24" s="36"/>
      <c r="C24" s="36"/>
      <c r="D24" s="36"/>
    </row>
    <row r="25" spans="1:5" x14ac:dyDescent="0.45">
      <c r="A25" s="36"/>
      <c r="B25" s="36"/>
      <c r="C25" s="36"/>
      <c r="D25" s="36"/>
    </row>
    <row r="26" spans="1:5" x14ac:dyDescent="0.45">
      <c r="A26" s="36"/>
      <c r="B26" s="36"/>
      <c r="C26" s="36"/>
      <c r="D26" s="36"/>
    </row>
  </sheetData>
  <mergeCells count="1">
    <mergeCell ref="A24:D26"/>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
  <sheetViews>
    <sheetView zoomScaleNormal="100" workbookViewId="0">
      <selection activeCell="B7" sqref="B7"/>
    </sheetView>
  </sheetViews>
  <sheetFormatPr defaultColWidth="8.6640625" defaultRowHeight="14.25" x14ac:dyDescent="0.45"/>
  <cols>
    <col min="1" max="1" width="34" customWidth="1"/>
    <col min="2" max="2" width="16" customWidth="1"/>
    <col min="3" max="5" width="22" customWidth="1"/>
    <col min="6" max="6" width="26" customWidth="1"/>
  </cols>
  <sheetData>
    <row r="1" spans="1:6" ht="17.649999999999999" x14ac:dyDescent="0.5">
      <c r="A1" s="2" t="s">
        <v>188</v>
      </c>
    </row>
    <row r="2" spans="1:6" x14ac:dyDescent="0.45">
      <c r="A2" s="3" t="s">
        <v>189</v>
      </c>
    </row>
    <row r="4" spans="1:6" x14ac:dyDescent="0.45">
      <c r="A4" s="5" t="s">
        <v>190</v>
      </c>
      <c r="B4" s="5" t="s">
        <v>191</v>
      </c>
      <c r="C4" s="5" t="s">
        <v>192</v>
      </c>
      <c r="D4" s="5" t="s">
        <v>193</v>
      </c>
      <c r="E4" s="5" t="s">
        <v>194</v>
      </c>
      <c r="F4" s="5" t="s">
        <v>195</v>
      </c>
    </row>
    <row r="5" spans="1:6" x14ac:dyDescent="0.45">
      <c r="A5" s="14" t="s">
        <v>196</v>
      </c>
      <c r="B5" s="29">
        <f>'1_Source_Data'!D13/100</f>
        <v>2.5000000000000001E-3</v>
      </c>
      <c r="C5" s="25">
        <f>$B5*50*1000000</f>
        <v>125000</v>
      </c>
      <c r="D5" s="25">
        <f>$B5*100*1000000</f>
        <v>250000</v>
      </c>
      <c r="E5" s="25">
        <f t="shared" ref="E5:E10" si="0">$B5*150*1000000</f>
        <v>375000</v>
      </c>
      <c r="F5" s="30">
        <f>D5/$D$5</f>
        <v>1</v>
      </c>
    </row>
    <row r="6" spans="1:6" x14ac:dyDescent="0.45">
      <c r="A6" s="14" t="s">
        <v>197</v>
      </c>
      <c r="B6" s="29">
        <f>'1_Source_Data'!D14/100</f>
        <v>0.01</v>
      </c>
      <c r="C6" s="25">
        <f>$B6*50*1000000</f>
        <v>500000</v>
      </c>
      <c r="D6" s="25">
        <f>$B6*100*1000000</f>
        <v>1000000</v>
      </c>
      <c r="E6" s="25">
        <f t="shared" si="0"/>
        <v>1500000</v>
      </c>
      <c r="F6" s="30">
        <f>D6/$D$5</f>
        <v>4</v>
      </c>
    </row>
    <row r="7" spans="1:6" x14ac:dyDescent="0.45">
      <c r="A7" s="14" t="s">
        <v>198</v>
      </c>
      <c r="B7" s="29">
        <f>'1_Source_Data'!D15/100</f>
        <v>0.05</v>
      </c>
      <c r="C7" s="25">
        <f t="shared" ref="C7:C10" si="1">$B7*50*1000000</f>
        <v>2500000</v>
      </c>
      <c r="D7" s="25">
        <f>$B7*100*1000000</f>
        <v>5000000</v>
      </c>
      <c r="E7" s="25">
        <f t="shared" si="0"/>
        <v>7500000</v>
      </c>
      <c r="F7" s="30">
        <f>D7/$D$5</f>
        <v>20</v>
      </c>
    </row>
    <row r="8" spans="1:6" x14ac:dyDescent="0.45">
      <c r="A8" s="14" t="s">
        <v>199</v>
      </c>
      <c r="B8" s="29">
        <f>'1_Source_Data'!D16/100</f>
        <v>5.0000000000000001E-4</v>
      </c>
      <c r="C8" s="25">
        <f t="shared" si="1"/>
        <v>25000</v>
      </c>
      <c r="D8" s="25">
        <f t="shared" ref="D6:D10" si="2">$B8*100*1000000</f>
        <v>50000</v>
      </c>
      <c r="E8" s="25">
        <f t="shared" si="0"/>
        <v>75000</v>
      </c>
      <c r="F8" s="30">
        <f>D8/$D$8</f>
        <v>1</v>
      </c>
    </row>
    <row r="9" spans="1:6" x14ac:dyDescent="0.45">
      <c r="A9" s="14" t="s">
        <v>200</v>
      </c>
      <c r="B9" s="29">
        <f>'1_Source_Data'!D17/100</f>
        <v>0.01</v>
      </c>
      <c r="C9" s="25">
        <f t="shared" si="1"/>
        <v>500000</v>
      </c>
      <c r="D9" s="25">
        <f t="shared" si="2"/>
        <v>1000000</v>
      </c>
      <c r="E9" s="25">
        <f t="shared" si="0"/>
        <v>1500000</v>
      </c>
      <c r="F9" s="30">
        <f>D9/$D$8</f>
        <v>20</v>
      </c>
    </row>
    <row r="10" spans="1:6" x14ac:dyDescent="0.45">
      <c r="A10" s="14" t="s">
        <v>201</v>
      </c>
      <c r="B10" s="29">
        <f>'1_Source_Data'!D18/100</f>
        <v>2E-3</v>
      </c>
      <c r="C10" s="25">
        <f t="shared" si="1"/>
        <v>100000</v>
      </c>
      <c r="D10" s="25">
        <f t="shared" si="2"/>
        <v>200000</v>
      </c>
      <c r="E10" s="25">
        <f t="shared" si="0"/>
        <v>300000</v>
      </c>
      <c r="F10" s="30">
        <f>D10/$D$8</f>
        <v>4</v>
      </c>
    </row>
    <row r="12" spans="1:6" ht="15" customHeight="1" x14ac:dyDescent="0.45">
      <c r="A12" s="36" t="s">
        <v>202</v>
      </c>
      <c r="B12" s="36"/>
      <c r="C12" s="36"/>
      <c r="D12" s="36"/>
      <c r="E12" s="36"/>
      <c r="F12" s="36"/>
    </row>
    <row r="13" spans="1:6" x14ac:dyDescent="0.45">
      <c r="A13" s="36"/>
      <c r="B13" s="36"/>
      <c r="C13" s="36"/>
      <c r="D13" s="36"/>
      <c r="E13" s="36"/>
      <c r="F13" s="36"/>
    </row>
    <row r="14" spans="1:6" x14ac:dyDescent="0.45">
      <c r="A14" s="14" t="s">
        <v>203</v>
      </c>
      <c r="D14" s="25">
        <f>D6*52</f>
        <v>52000000</v>
      </c>
    </row>
  </sheetData>
  <mergeCells count="1">
    <mergeCell ref="A12:F13"/>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zoomScaleNormal="100" workbookViewId="0">
      <selection activeCell="B6" sqref="B6"/>
    </sheetView>
  </sheetViews>
  <sheetFormatPr defaultColWidth="8.6640625" defaultRowHeight="14.25" x14ac:dyDescent="0.45"/>
  <cols>
    <col min="1" max="1" width="34" customWidth="1"/>
    <col min="2" max="2" width="100" customWidth="1"/>
  </cols>
  <sheetData>
    <row r="1" spans="1:2" ht="17.649999999999999" x14ac:dyDescent="0.5">
      <c r="A1" s="2" t="s">
        <v>204</v>
      </c>
    </row>
    <row r="3" spans="1:2" ht="43.5" customHeight="1" x14ac:dyDescent="0.45">
      <c r="A3" s="4" t="s">
        <v>205</v>
      </c>
      <c r="B3" s="1" t="s">
        <v>206</v>
      </c>
    </row>
    <row r="4" spans="1:2" ht="43.5" customHeight="1" x14ac:dyDescent="0.45">
      <c r="A4" s="4" t="s">
        <v>207</v>
      </c>
      <c r="B4" s="1" t="s">
        <v>208</v>
      </c>
    </row>
    <row r="5" spans="1:2" ht="43.5" customHeight="1" x14ac:dyDescent="0.45">
      <c r="A5" s="4" t="s">
        <v>209</v>
      </c>
      <c r="B5" s="1" t="s">
        <v>210</v>
      </c>
    </row>
    <row r="6" spans="1:2" ht="43.5" customHeight="1" x14ac:dyDescent="0.45">
      <c r="A6" s="4" t="s">
        <v>211</v>
      </c>
      <c r="B6" s="1" t="s">
        <v>212</v>
      </c>
    </row>
    <row r="7" spans="1:2" ht="43.5" customHeight="1" x14ac:dyDescent="0.45">
      <c r="A7" s="4" t="s">
        <v>213</v>
      </c>
      <c r="B7" s="1" t="s">
        <v>214</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1_Source_Data</vt:lpstr>
      <vt:lpstr>2_Chokepoint_Analysis</vt:lpstr>
      <vt:lpstr>3_Cost_Model</vt:lpstr>
      <vt:lpstr>4_Insurance_Matrix</vt:lpstr>
      <vt:lpstr>5_Findings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debanjan mukherjee</cp:lastModifiedBy>
  <cp:revision>0</cp:revision>
  <dcterms:created xsi:type="dcterms:W3CDTF">2026-07-08T10:49:16Z</dcterms:created>
  <dcterms:modified xsi:type="dcterms:W3CDTF">2026-07-09T12:39:07Z</dcterms:modified>
  <dc:language>en-US</dc:language>
</cp:coreProperties>
</file>